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ave\Downloads\"/>
    </mc:Choice>
  </mc:AlternateContent>
  <xr:revisionPtr revIDLastSave="0" documentId="13_ncr:1_{A39DC360-A932-4743-9FA4-C8B7B9CECA02}" xr6:coauthVersionLast="47" xr6:coauthVersionMax="47" xr10:uidLastSave="{00000000-0000-0000-0000-000000000000}"/>
  <bookViews>
    <workbookView xWindow="-103" yWindow="-103" windowWidth="24892" windowHeight="14914" xr2:uid="{00000000-000D-0000-FFFF-FFFF00000000}"/>
  </bookViews>
  <sheets>
    <sheet name="Parameters" sheetId="1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" i="2" l="1"/>
  <c r="Y11" i="2" s="1"/>
  <c r="W11" i="2"/>
  <c r="Z11" i="2" s="1"/>
  <c r="U11" i="2"/>
  <c r="V11" i="2" s="1"/>
  <c r="T11" i="2"/>
  <c r="S11" i="2"/>
  <c r="R11" i="2"/>
  <c r="Q11" i="2"/>
  <c r="P11" i="2"/>
  <c r="O11" i="2"/>
  <c r="N11" i="2"/>
  <c r="M11" i="2"/>
  <c r="L11" i="2"/>
  <c r="X10" i="2"/>
  <c r="Y10" i="2" s="1"/>
  <c r="W10" i="2"/>
  <c r="Z10" i="2" s="1"/>
  <c r="V10" i="2"/>
  <c r="U10" i="2"/>
  <c r="T10" i="2"/>
  <c r="S10" i="2"/>
  <c r="R10" i="2"/>
  <c r="Q10" i="2"/>
  <c r="P10" i="2"/>
  <c r="O10" i="2"/>
  <c r="N10" i="2"/>
  <c r="M10" i="2"/>
  <c r="L10" i="2"/>
  <c r="X9" i="2"/>
  <c r="Y9" i="2" s="1"/>
  <c r="W9" i="2"/>
  <c r="T9" i="2"/>
  <c r="U9" i="2" s="1"/>
  <c r="V9" i="2" s="1"/>
  <c r="S9" i="2"/>
  <c r="R9" i="2"/>
  <c r="Q9" i="2"/>
  <c r="P9" i="2"/>
  <c r="O9" i="2"/>
  <c r="N9" i="2"/>
  <c r="M9" i="2"/>
  <c r="L9" i="2"/>
  <c r="X8" i="2"/>
  <c r="Y8" i="2" s="1"/>
  <c r="W8" i="2"/>
  <c r="T8" i="2"/>
  <c r="U8" i="2" s="1"/>
  <c r="S8" i="2"/>
  <c r="R8" i="2"/>
  <c r="Q8" i="2"/>
  <c r="P8" i="2"/>
  <c r="O8" i="2"/>
  <c r="N8" i="2"/>
  <c r="M8" i="2"/>
  <c r="L8" i="2"/>
  <c r="Y7" i="2"/>
  <c r="AB7" i="2" s="1"/>
  <c r="X7" i="2"/>
  <c r="W7" i="2"/>
  <c r="T7" i="2"/>
  <c r="U7" i="2" s="1"/>
  <c r="S7" i="2"/>
  <c r="R7" i="2"/>
  <c r="Q7" i="2"/>
  <c r="P7" i="2"/>
  <c r="O7" i="2"/>
  <c r="N7" i="2"/>
  <c r="M7" i="2"/>
  <c r="L7" i="2"/>
  <c r="Y6" i="2"/>
  <c r="X6" i="2"/>
  <c r="W6" i="2"/>
  <c r="T6" i="2"/>
  <c r="U6" i="2" s="1"/>
  <c r="S6" i="2"/>
  <c r="R6" i="2"/>
  <c r="Q6" i="2"/>
  <c r="P6" i="2"/>
  <c r="O6" i="2"/>
  <c r="N6" i="2"/>
  <c r="M6" i="2"/>
  <c r="L6" i="2"/>
  <c r="X5" i="2"/>
  <c r="Y5" i="2" s="1"/>
  <c r="W5" i="2"/>
  <c r="T5" i="2"/>
  <c r="U5" i="2" s="1"/>
  <c r="V5" i="2" s="1"/>
  <c r="S5" i="2"/>
  <c r="R5" i="2"/>
  <c r="Q5" i="2"/>
  <c r="P5" i="2"/>
  <c r="O5" i="2"/>
  <c r="N5" i="2"/>
  <c r="M5" i="2"/>
  <c r="L5" i="2"/>
  <c r="X4" i="2"/>
  <c r="Y4" i="2" s="1"/>
  <c r="W4" i="2"/>
  <c r="T4" i="2"/>
  <c r="U4" i="2" s="1"/>
  <c r="V4" i="2" s="1"/>
  <c r="S4" i="2"/>
  <c r="R4" i="2"/>
  <c r="Q4" i="2"/>
  <c r="P4" i="2"/>
  <c r="O4" i="2"/>
  <c r="N4" i="2"/>
  <c r="M4" i="2"/>
  <c r="L4" i="2"/>
  <c r="X3" i="2"/>
  <c r="Y3" i="2" s="1"/>
  <c r="W3" i="2"/>
  <c r="Z3" i="2" s="1"/>
  <c r="U3" i="2"/>
  <c r="V3" i="2" s="1"/>
  <c r="T3" i="2"/>
  <c r="S3" i="2"/>
  <c r="R3" i="2"/>
  <c r="Q3" i="2"/>
  <c r="P3" i="2"/>
  <c r="O3" i="2"/>
  <c r="N3" i="2"/>
  <c r="M3" i="2"/>
  <c r="L3" i="2"/>
  <c r="X2" i="2"/>
  <c r="Y2" i="2" s="1"/>
  <c r="W2" i="2"/>
  <c r="Z2" i="2" s="1"/>
  <c r="V2" i="2"/>
  <c r="U2" i="2"/>
  <c r="T2" i="2"/>
  <c r="S2" i="2"/>
  <c r="R2" i="2"/>
  <c r="Q2" i="2"/>
  <c r="P2" i="2"/>
  <c r="O2" i="2"/>
  <c r="N2" i="2"/>
  <c r="M2" i="2"/>
  <c r="L2" i="2"/>
  <c r="V8" i="2" l="1"/>
  <c r="Z8" i="2"/>
  <c r="AB3" i="2"/>
  <c r="AA3" i="2"/>
  <c r="AB8" i="2"/>
  <c r="AA8" i="2"/>
  <c r="AB10" i="2"/>
  <c r="AA10" i="2"/>
  <c r="AB6" i="2"/>
  <c r="V6" i="2"/>
  <c r="Z6" i="2"/>
  <c r="AA6" i="2"/>
  <c r="Z4" i="2"/>
  <c r="V7" i="2"/>
  <c r="Z7" i="2"/>
  <c r="Z9" i="2"/>
  <c r="AB5" i="2"/>
  <c r="AA5" i="2"/>
  <c r="AA4" i="2"/>
  <c r="AB4" i="2"/>
  <c r="AA2" i="2"/>
  <c r="AB2" i="2"/>
  <c r="AB9" i="2"/>
  <c r="AA9" i="2"/>
  <c r="Z5" i="2"/>
  <c r="AB11" i="2"/>
  <c r="AA11" i="2"/>
  <c r="AA7" i="2"/>
</calcChain>
</file>

<file path=xl/sharedStrings.xml><?xml version="1.0" encoding="utf-8"?>
<sst xmlns="http://schemas.openxmlformats.org/spreadsheetml/2006/main" count="69" uniqueCount="68">
  <si>
    <t>id</t>
  </si>
  <si>
    <t>timestamp</t>
  </si>
  <si>
    <t>CBC</t>
  </si>
  <si>
    <t>ANGLE</t>
  </si>
  <si>
    <t>VEL</t>
  </si>
  <si>
    <t>PEAKS</t>
  </si>
  <si>
    <t>DEPTH</t>
  </si>
  <si>
    <t>AMP</t>
  </si>
  <si>
    <t>CSQ</t>
  </si>
  <si>
    <t>AVEL</t>
  </si>
  <si>
    <t>PEAKS Best Depth (mm)</t>
  </si>
  <si>
    <t>PEAKS Best Signal</t>
  </si>
  <si>
    <t>Bin2 Depth (mm)</t>
  </si>
  <si>
    <t>Bin2 Signal</t>
  </si>
  <si>
    <t>Bin3 Depth (mm)</t>
  </si>
  <si>
    <t>Bin3 Signal</t>
  </si>
  <si>
    <t>Bin4 Depth (mm)</t>
  </si>
  <si>
    <t>Bin4 Signal</t>
  </si>
  <si>
    <t>Vertical Dist to Water (mm)</t>
  </si>
  <si>
    <t>Water Depth (mm)</t>
  </si>
  <si>
    <t>Water Depth (m)</t>
  </si>
  <si>
    <t>H factor (1/cos)</t>
  </si>
  <si>
    <t>AMP Threshold</t>
  </si>
  <si>
    <t>AMP Factor (0–1)</t>
  </si>
  <si>
    <t>VEL × H_factor (mm/s) [ref]</t>
  </si>
  <si>
    <t>AVEL × AMP_factor (mm/s) [ref]</t>
  </si>
  <si>
    <t>Adjusted Velocity (mm/s) [PRIMARY]</t>
  </si>
  <si>
    <t>2024-01-01 00:00:00</t>
  </si>
  <si>
    <t>3E00A00|3F00900|4000800|4010600</t>
  </si>
  <si>
    <t>2024-01-01 00:00:10</t>
  </si>
  <si>
    <t>3E10A20|3F20910|4010810|4020610</t>
  </si>
  <si>
    <t>2024-01-01 00:00:20</t>
  </si>
  <si>
    <t>3E20A10|3F10920|4020820|4030620</t>
  </si>
  <si>
    <t>2024-01-01 00:00:30</t>
  </si>
  <si>
    <t>3E30A30|3F30930|4030830|4040630</t>
  </si>
  <si>
    <t>2024-01-01 00:00:40</t>
  </si>
  <si>
    <t>3E40A05|3F40905|4040805|4050605</t>
  </si>
  <si>
    <t>2024-01-01 00:00:50</t>
  </si>
  <si>
    <t>3E50A15|3F50915|4050815|4060615</t>
  </si>
  <si>
    <t>2024-01-01 00:01:00</t>
  </si>
  <si>
    <t>3E60A25|3F60925|4060825|4070625</t>
  </si>
  <si>
    <t>2024-01-01 00:01:10</t>
  </si>
  <si>
    <t>3E70A35|3F70935|4070835|4080635</t>
  </si>
  <si>
    <t>2024-01-01 00:01:20</t>
  </si>
  <si>
    <t>3E80A00|3F80900|4080800|4090600</t>
  </si>
  <si>
    <t>2024-01-01 00:01:30</t>
  </si>
  <si>
    <t>3E90A10|3F90910|4090810|40A0610</t>
  </si>
  <si>
    <t>Parameter</t>
  </si>
  <si>
    <t>Value</t>
  </si>
  <si>
    <t>Notes</t>
  </si>
  <si>
    <t>Install depth (mm)</t>
  </si>
  <si>
    <t>Distance from sensor face to channel invert — EDIT THIS</t>
  </si>
  <si>
    <t>Water slope correction (deg)</t>
  </si>
  <si>
    <t>Added to angle for velocity; subtracted for depth — EDIT THIS</t>
  </si>
  <si>
    <t>Max water depth (mm)</t>
  </si>
  <si>
    <t>Depth values above this become blank — EDIT or clear</t>
  </si>
  <si>
    <t>Depth threshold for velocity (mm)</t>
  </si>
  <si>
    <t>Velocity → 0 below this depth — EDIT or clear</t>
  </si>
  <si>
    <t>Velocity output units</t>
  </si>
  <si>
    <t>mm/s</t>
  </si>
  <si>
    <t>Change to m/s and divide formula columns by 1000 if needed</t>
  </si>
  <si>
    <t>Depth source</t>
  </si>
  <si>
    <t>DEPTH = firmware average of prior 6 min at 1-min intervals (recommended) | PEAKS = instantaneous strongest echo. Type exactly DEPTH or PEAKS.</t>
  </si>
  <si>
    <t>User Guide</t>
  </si>
  <si>
    <t>Full documentation — open this link in a browser for step-by-step instructions and formula explanations</t>
  </si>
  <si>
    <t>NOTE</t>
  </si>
  <si>
    <t>Paste your full sensor CSV data into columns A–J of the Data sheet from row 2 onwards, then copy the formula columns (L onwards) down to cover all your rows.</t>
  </si>
  <si>
    <t xml:space="preserve">https://boslwiki.com.au/wiki/Understanding_The_Radars_Output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</si>
</sst>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444444"/>
      <name val="Calibri"/>
      <family val="2"/>
    </font>
    <font>
      <b/>
      <u/>
      <sz val="10"/>
      <color rgb="FF0563C1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2A7A74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444444"/>
      </patternFill>
    </fill>
    <fill>
      <patternFill patternType="solid">
        <fgColor rgb="FF4A4A4A"/>
      </patternFill>
    </fill>
    <fill>
      <patternFill patternType="solid">
        <fgColor rgb="FF37562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3" fillId="0" borderId="0" xfId="0" applyFont="1"/>
    <xf numFmtId="0" fontId="4" fillId="0" borderId="0" xfId="0" applyFont="1"/>
    <xf numFmtId="0" fontId="2" fillId="4" borderId="0" xfId="0" applyFont="1" applyFill="1"/>
    <xf numFmtId="0" fontId="1" fillId="5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slwiki.com.au/wiki/Understanding_The_Radars_Outp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pane ySplit="1" topLeftCell="A2" activePane="bottomLeft" state="frozen"/>
      <selection pane="bottomLeft" activeCell="B12" sqref="B12"/>
    </sheetView>
  </sheetViews>
  <sheetFormatPr defaultRowHeight="14.6" x14ac:dyDescent="0.4"/>
  <cols>
    <col min="1" max="1" width="36" customWidth="1"/>
    <col min="2" max="2" width="58.23046875" customWidth="1"/>
    <col min="3" max="3" width="72" customWidth="1"/>
  </cols>
  <sheetData>
    <row r="1" spans="1:3" x14ac:dyDescent="0.4">
      <c r="A1" s="1" t="s">
        <v>47</v>
      </c>
      <c r="B1" s="1" t="s">
        <v>48</v>
      </c>
      <c r="C1" s="1" t="s">
        <v>49</v>
      </c>
    </row>
    <row r="2" spans="1:3" x14ac:dyDescent="0.4">
      <c r="A2" t="s">
        <v>50</v>
      </c>
      <c r="B2" s="2">
        <v>1100</v>
      </c>
      <c r="C2" t="s">
        <v>51</v>
      </c>
    </row>
    <row r="3" spans="1:3" x14ac:dyDescent="0.4">
      <c r="A3" t="s">
        <v>52</v>
      </c>
      <c r="B3" s="2">
        <v>-0.5</v>
      </c>
      <c r="C3" t="s">
        <v>53</v>
      </c>
    </row>
    <row r="4" spans="1:3" x14ac:dyDescent="0.4">
      <c r="A4" t="s">
        <v>54</v>
      </c>
      <c r="B4" s="2">
        <v>1060</v>
      </c>
      <c r="C4" t="s">
        <v>55</v>
      </c>
    </row>
    <row r="5" spans="1:3" x14ac:dyDescent="0.4">
      <c r="A5" t="s">
        <v>56</v>
      </c>
      <c r="B5" s="2">
        <v>10</v>
      </c>
      <c r="C5" t="s">
        <v>57</v>
      </c>
    </row>
    <row r="6" spans="1:3" x14ac:dyDescent="0.4">
      <c r="A6" t="s">
        <v>58</v>
      </c>
      <c r="B6" s="2" t="s">
        <v>59</v>
      </c>
      <c r="C6" t="s">
        <v>60</v>
      </c>
    </row>
    <row r="7" spans="1:3" x14ac:dyDescent="0.4">
      <c r="A7" t="s">
        <v>61</v>
      </c>
      <c r="B7" s="2" t="s">
        <v>6</v>
      </c>
      <c r="C7" s="3" t="s">
        <v>62</v>
      </c>
    </row>
    <row r="8" spans="1:3" x14ac:dyDescent="0.4">
      <c r="B8" s="4"/>
    </row>
    <row r="9" spans="1:3" x14ac:dyDescent="0.4">
      <c r="A9" t="s">
        <v>63</v>
      </c>
      <c r="B9" s="10" t="s">
        <v>67</v>
      </c>
      <c r="C9" t="s">
        <v>64</v>
      </c>
    </row>
    <row r="10" spans="1:3" x14ac:dyDescent="0.4">
      <c r="A10" s="5" t="s">
        <v>65</v>
      </c>
      <c r="B10" s="5" t="s">
        <v>66</v>
      </c>
      <c r="C10" s="5"/>
    </row>
  </sheetData>
  <hyperlinks>
    <hyperlink ref="B9" r:id="rId1" xr:uid="{C92FCCFF-5148-4B2D-9337-536B65612606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1"/>
  <sheetViews>
    <sheetView workbookViewId="0">
      <pane ySplit="1" topLeftCell="A2" activePane="bottomLeft" state="frozen"/>
      <selection pane="bottomLeft"/>
    </sheetView>
  </sheetViews>
  <sheetFormatPr defaultRowHeight="14.6" x14ac:dyDescent="0.4"/>
  <cols>
    <col min="1" max="10" width="14" customWidth="1"/>
    <col min="11" max="11" width="4" customWidth="1"/>
    <col min="12" max="28" width="22" customWidth="1"/>
  </cols>
  <sheetData>
    <row r="1" spans="1:28" ht="25.75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7" t="s">
        <v>18</v>
      </c>
      <c r="U1" s="7" t="s">
        <v>19</v>
      </c>
      <c r="V1" s="7" t="s">
        <v>20</v>
      </c>
      <c r="W1" s="9" t="s">
        <v>21</v>
      </c>
      <c r="X1" s="9" t="s">
        <v>22</v>
      </c>
      <c r="Y1" s="9" t="s">
        <v>23</v>
      </c>
      <c r="Z1" s="9" t="s">
        <v>24</v>
      </c>
      <c r="AA1" s="9" t="s">
        <v>25</v>
      </c>
      <c r="AB1" s="9" t="s">
        <v>26</v>
      </c>
    </row>
    <row r="2" spans="1:28" x14ac:dyDescent="0.4">
      <c r="A2">
        <v>1</v>
      </c>
      <c r="B2" t="s">
        <v>27</v>
      </c>
      <c r="C2">
        <v>0</v>
      </c>
      <c r="D2">
        <v>74</v>
      </c>
      <c r="E2">
        <v>120</v>
      </c>
      <c r="F2" t="s">
        <v>28</v>
      </c>
      <c r="G2">
        <v>980</v>
      </c>
      <c r="H2">
        <v>1800</v>
      </c>
      <c r="I2">
        <v>15</v>
      </c>
      <c r="J2">
        <v>95</v>
      </c>
      <c r="L2">
        <f>HEX2DEC(LEFT(CHOOSE(MATCH(LARGE(HEX2DEC(MID(F2,{5,13,21,29},3)),1),HEX2DEC(MID(F2,{5,13,21,29},3)),0),MID(F2,1,7),MID(F2,9,7),MID(F2,17,7),MID(F2,25,7)),3))</f>
        <v>992</v>
      </c>
      <c r="M2">
        <f>LARGE(HEX2DEC(MID(F2,{5,13,21,29},3)),1)</f>
        <v>2560</v>
      </c>
      <c r="N2">
        <f>HEX2DEC(LEFT(CHOOSE(MATCH(LARGE(HEX2DEC(MID(F2,{5,13,21,29},3)),2),HEX2DEC(MID(F2,{5,13,21,29},3)),0),MID(F2,1,7),MID(F2,9,7),MID(F2,17,7),MID(F2,25,7)),3))</f>
        <v>1008</v>
      </c>
      <c r="O2">
        <f>LARGE(HEX2DEC(MID(F2,{5,13,21,29},3)),2)</f>
        <v>2304</v>
      </c>
      <c r="P2">
        <f>HEX2DEC(LEFT(CHOOSE(MATCH(LARGE(HEX2DEC(MID(F2,{5,13,21,29},3)),3),HEX2DEC(MID(F2,{5,13,21,29},3)),0),MID(F2,1,7),MID(F2,9,7),MID(F2,17,7),MID(F2,25,7)),3))</f>
        <v>1024</v>
      </c>
      <c r="Q2">
        <f>LARGE(HEX2DEC(MID(F2,{5,13,21,29},3)),3)</f>
        <v>2048</v>
      </c>
      <c r="R2">
        <f>HEX2DEC(LEFT(CHOOSE(MATCH(LARGE(HEX2DEC(MID(F2,{5,13,21,29},3)),4),HEX2DEC(MID(F2,{5,13,21,29},3)),0),MID(F2,1,7),MID(F2,9,7),MID(F2,17,7),MID(F2,25,7)),3))</f>
        <v>1025</v>
      </c>
      <c r="S2">
        <f>LARGE(HEX2DEC(MID(F2,{5,13,21,29},3)),4)</f>
        <v>1536</v>
      </c>
      <c r="T2">
        <f>IFERROR(IF(IF(Parameters!$B$7="PEAKS",L2,IF(G2&lt;&gt;"",G2*1,""))="","",IF(Parameters!$B$7="PEAKS",L2,IF(G2&lt;&gt;"",G2*1,""))*SIN(RADIANS((IF(D2=0,75,D2))-Parameters!$B$3))),"")</f>
        <v>944.3578441444505</v>
      </c>
      <c r="U2">
        <f>IFERROR(IF(AND(Parameters!$B$4&lt;&gt;"",MAX(0,Parameters!$B$2-T2)&gt;Parameters!$B$4),"",MAX(0,Parameters!$B$2-T2)),"")</f>
        <v>155.6421558555495</v>
      </c>
      <c r="V2">
        <f t="shared" ref="V2:V11" si="0">IFERROR(IF(U2="","",U2/1000),"")</f>
        <v>0.1556421558555495</v>
      </c>
      <c r="W2">
        <f>MIN(10,MAX(1,1/COS(RADIANS((IF(D2=0,75,D2))+Parameters!$B$3))))</f>
        <v>3.5209365220828794</v>
      </c>
      <c r="X2">
        <f>1.25/COS(RADIANS((IF(D2=0,75,D2))+Parameters!$B$3))</f>
        <v>4.4011706526035992</v>
      </c>
      <c r="Y2">
        <f t="shared" ref="Y2:Y11" si="1">MIN(1,MAX(0,(H2-X2)/X2))</f>
        <v>1</v>
      </c>
      <c r="Z2">
        <f>E2*W2*IF(U2="",0,IF(Parameters!$B$5="",1,IF(U2&gt;=Parameters!$B$5*1,1,0)))</f>
        <v>422.51238264994555</v>
      </c>
      <c r="AA2">
        <f>J2*Y2*IF(U2="",0,IF(Parameters!$B$5="",1,IF(U2&gt;=Parameters!$B$5*1,1,0)))</f>
        <v>95</v>
      </c>
      <c r="AB2">
        <f>E2*Y2*W2*IF(U2="",0,IF(Parameters!$B$5="",1,IF(U2&gt;=Parameters!$B$5*1,1,0)))</f>
        <v>422.51238264994555</v>
      </c>
    </row>
    <row r="3" spans="1:28" x14ac:dyDescent="0.4">
      <c r="A3">
        <v>2</v>
      </c>
      <c r="B3" t="s">
        <v>29</v>
      </c>
      <c r="C3">
        <v>0</v>
      </c>
      <c r="D3">
        <v>75</v>
      </c>
      <c r="E3">
        <v>85</v>
      </c>
      <c r="F3" t="s">
        <v>30</v>
      </c>
      <c r="G3">
        <v>975</v>
      </c>
      <c r="H3">
        <v>1750</v>
      </c>
      <c r="I3">
        <v>14</v>
      </c>
      <c r="J3">
        <v>82</v>
      </c>
      <c r="L3">
        <f>HEX2DEC(LEFT(CHOOSE(MATCH(LARGE(HEX2DEC(MID(F3,{5,13,21,29},3)),1),HEX2DEC(MID(F3,{5,13,21,29},3)),0),MID(F3,1,7),MID(F3,9,7),MID(F3,17,7),MID(F3,25,7)),3))</f>
        <v>993</v>
      </c>
      <c r="M3">
        <f>LARGE(HEX2DEC(MID(F3,{5,13,21,29},3)),1)</f>
        <v>2592</v>
      </c>
      <c r="N3">
        <f>HEX2DEC(LEFT(CHOOSE(MATCH(LARGE(HEX2DEC(MID(F3,{5,13,21,29},3)),2),HEX2DEC(MID(F3,{5,13,21,29},3)),0),MID(F3,1,7),MID(F3,9,7),MID(F3,17,7),MID(F3,25,7)),3))</f>
        <v>1010</v>
      </c>
      <c r="O3">
        <f>LARGE(HEX2DEC(MID(F3,{5,13,21,29},3)),2)</f>
        <v>2320</v>
      </c>
      <c r="P3">
        <f>HEX2DEC(LEFT(CHOOSE(MATCH(LARGE(HEX2DEC(MID(F3,{5,13,21,29},3)),3),HEX2DEC(MID(F3,{5,13,21,29},3)),0),MID(F3,1,7),MID(F3,9,7),MID(F3,17,7),MID(F3,25,7)),3))</f>
        <v>1025</v>
      </c>
      <c r="Q3">
        <f>LARGE(HEX2DEC(MID(F3,{5,13,21,29},3)),3)</f>
        <v>2064</v>
      </c>
      <c r="R3">
        <f>HEX2DEC(LEFT(CHOOSE(MATCH(LARGE(HEX2DEC(MID(F3,{5,13,21,29},3)),4),HEX2DEC(MID(F3,{5,13,21,29},3)),0),MID(F3,1,7),MID(F3,9,7),MID(F3,17,7),MID(F3,25,7)),3))</f>
        <v>1026</v>
      </c>
      <c r="S3">
        <f>LARGE(HEX2DEC(MID(F3,{5,13,21,29},3)),4)</f>
        <v>1552</v>
      </c>
      <c r="T3">
        <f>IFERROR(IF(IF(Parameters!$B$7="PEAKS",L3,IF(G3&lt;&gt;"",G3*1,""))="","",IF(Parameters!$B$7="PEAKS",L3,IF(G3&lt;&gt;"",G3*1,""))*SIN(RADIANS((IF(D3=0,75,D3))-Parameters!$B$3))),"")</f>
        <v>943.94394936865501</v>
      </c>
      <c r="U3">
        <f>IFERROR(IF(AND(Parameters!$B$4&lt;&gt;"",MAX(0,Parameters!$B$2-T3)&gt;Parameters!$B$4),"",MAX(0,Parameters!$B$2-T3)),"")</f>
        <v>156.05605063134499</v>
      </c>
      <c r="V3">
        <f t="shared" si="0"/>
        <v>0.15605605063134498</v>
      </c>
      <c r="W3">
        <f>MIN(10,MAX(1,1/COS(RADIANS((IF(D3=0,75,D3))+Parameters!$B$3))))</f>
        <v>3.7419775358429965</v>
      </c>
      <c r="X3">
        <f>1.25/COS(RADIANS((IF(D3=0,75,D3))+Parameters!$B$3))</f>
        <v>4.6774719198037458</v>
      </c>
      <c r="Y3">
        <f t="shared" si="1"/>
        <v>1</v>
      </c>
      <c r="Z3">
        <f>E3*W3*IF(U3="",0,IF(Parameters!$B$5="",1,IF(U3&gt;=Parameters!$B$5*1,1,0)))</f>
        <v>318.06809054665473</v>
      </c>
      <c r="AA3">
        <f>J3*Y3*IF(U3="",0,IF(Parameters!$B$5="",1,IF(U3&gt;=Parameters!$B$5*1,1,0)))</f>
        <v>82</v>
      </c>
      <c r="AB3">
        <f>E3*Y3*W3*IF(U3="",0,IF(Parameters!$B$5="",1,IF(U3&gt;=Parameters!$B$5*1,1,0)))</f>
        <v>318.06809054665473</v>
      </c>
    </row>
    <row r="4" spans="1:28" x14ac:dyDescent="0.4">
      <c r="A4">
        <v>3</v>
      </c>
      <c r="B4" t="s">
        <v>31</v>
      </c>
      <c r="C4">
        <v>0</v>
      </c>
      <c r="D4">
        <v>74</v>
      </c>
      <c r="E4">
        <v>130</v>
      </c>
      <c r="F4" t="s">
        <v>32</v>
      </c>
      <c r="G4">
        <v>1000</v>
      </c>
      <c r="H4">
        <v>1820</v>
      </c>
      <c r="I4">
        <v>16</v>
      </c>
      <c r="J4">
        <v>108</v>
      </c>
      <c r="L4">
        <f>HEX2DEC(LEFT(CHOOSE(MATCH(LARGE(HEX2DEC(MID(F4,{5,13,21,29},3)),1),HEX2DEC(MID(F4,{5,13,21,29},3)),0),MID(F4,1,7),MID(F4,9,7),MID(F4,17,7),MID(F4,25,7)),3))</f>
        <v>994</v>
      </c>
      <c r="M4">
        <f>LARGE(HEX2DEC(MID(F4,{5,13,21,29},3)),1)</f>
        <v>2576</v>
      </c>
      <c r="N4">
        <f>HEX2DEC(LEFT(CHOOSE(MATCH(LARGE(HEX2DEC(MID(F4,{5,13,21,29},3)),2),HEX2DEC(MID(F4,{5,13,21,29},3)),0),MID(F4,1,7),MID(F4,9,7),MID(F4,17,7),MID(F4,25,7)),3))</f>
        <v>1009</v>
      </c>
      <c r="O4">
        <f>LARGE(HEX2DEC(MID(F4,{5,13,21,29},3)),2)</f>
        <v>2336</v>
      </c>
      <c r="P4">
        <f>HEX2DEC(LEFT(CHOOSE(MATCH(LARGE(HEX2DEC(MID(F4,{5,13,21,29},3)),3),HEX2DEC(MID(F4,{5,13,21,29},3)),0),MID(F4,1,7),MID(F4,9,7),MID(F4,17,7),MID(F4,25,7)),3))</f>
        <v>1026</v>
      </c>
      <c r="Q4">
        <f>LARGE(HEX2DEC(MID(F4,{5,13,21,29},3)),3)</f>
        <v>2080</v>
      </c>
      <c r="R4">
        <f>HEX2DEC(LEFT(CHOOSE(MATCH(LARGE(HEX2DEC(MID(F4,{5,13,21,29},3)),4),HEX2DEC(MID(F4,{5,13,21,29},3)),0),MID(F4,1,7),MID(F4,9,7),MID(F4,17,7),MID(F4,25,7)),3))</f>
        <v>1027</v>
      </c>
      <c r="S4">
        <f>LARGE(HEX2DEC(MID(F4,{5,13,21,29},3)),4)</f>
        <v>1568</v>
      </c>
      <c r="T4">
        <f>IFERROR(IF(IF(Parameters!$B$7="PEAKS",L4,IF(G4&lt;&gt;"",G4*1,""))="","",IF(Parameters!$B$7="PEAKS",L4,IF(G4&lt;&gt;"",G4*1,""))*SIN(RADIANS((IF(D4=0,75,D4))-Parameters!$B$3))),"")</f>
        <v>963.63045320862295</v>
      </c>
      <c r="U4">
        <f>IFERROR(IF(AND(Parameters!$B$4&lt;&gt;"",MAX(0,Parameters!$B$2-T4)&gt;Parameters!$B$4),"",MAX(0,Parameters!$B$2-T4)),"")</f>
        <v>136.36954679137705</v>
      </c>
      <c r="V4">
        <f t="shared" si="0"/>
        <v>0.13636954679137706</v>
      </c>
      <c r="W4">
        <f>MIN(10,MAX(1,1/COS(RADIANS((IF(D4=0,75,D4))+Parameters!$B$3))))</f>
        <v>3.5209365220828794</v>
      </c>
      <c r="X4">
        <f>1.25/COS(RADIANS((IF(D4=0,75,D4))+Parameters!$B$3))</f>
        <v>4.4011706526035992</v>
      </c>
      <c r="Y4">
        <f t="shared" si="1"/>
        <v>1</v>
      </c>
      <c r="Z4">
        <f>E4*W4*IF(U4="",0,IF(Parameters!$B$5="",1,IF(U4&gt;=Parameters!$B$5*1,1,0)))</f>
        <v>457.72174787077432</v>
      </c>
      <c r="AA4">
        <f>J4*Y4*IF(U4="",0,IF(Parameters!$B$5="",1,IF(U4&gt;=Parameters!$B$5*1,1,0)))</f>
        <v>108</v>
      </c>
      <c r="AB4">
        <f>E4*Y4*W4*IF(U4="",0,IF(Parameters!$B$5="",1,IF(U4&gt;=Parameters!$B$5*1,1,0)))</f>
        <v>457.72174787077432</v>
      </c>
    </row>
    <row r="5" spans="1:28" x14ac:dyDescent="0.4">
      <c r="A5">
        <v>4</v>
      </c>
      <c r="B5" t="s">
        <v>33</v>
      </c>
      <c r="C5">
        <v>0</v>
      </c>
      <c r="D5">
        <v>76</v>
      </c>
      <c r="E5">
        <v>70</v>
      </c>
      <c r="F5" t="s">
        <v>34</v>
      </c>
      <c r="G5">
        <v>990</v>
      </c>
      <c r="H5">
        <v>1700</v>
      </c>
      <c r="I5">
        <v>13</v>
      </c>
      <c r="J5">
        <v>68</v>
      </c>
      <c r="L5">
        <f>HEX2DEC(LEFT(CHOOSE(MATCH(LARGE(HEX2DEC(MID(F5,{5,13,21,29},3)),1),HEX2DEC(MID(F5,{5,13,21,29},3)),0),MID(F5,1,7),MID(F5,9,7),MID(F5,17,7),MID(F5,25,7)),3))</f>
        <v>995</v>
      </c>
      <c r="M5">
        <f>LARGE(HEX2DEC(MID(F5,{5,13,21,29},3)),1)</f>
        <v>2608</v>
      </c>
      <c r="N5">
        <f>HEX2DEC(LEFT(CHOOSE(MATCH(LARGE(HEX2DEC(MID(F5,{5,13,21,29},3)),2),HEX2DEC(MID(F5,{5,13,21,29},3)),0),MID(F5,1,7),MID(F5,9,7),MID(F5,17,7),MID(F5,25,7)),3))</f>
        <v>1011</v>
      </c>
      <c r="O5">
        <f>LARGE(HEX2DEC(MID(F5,{5,13,21,29},3)),2)</f>
        <v>2352</v>
      </c>
      <c r="P5">
        <f>HEX2DEC(LEFT(CHOOSE(MATCH(LARGE(HEX2DEC(MID(F5,{5,13,21,29},3)),3),HEX2DEC(MID(F5,{5,13,21,29},3)),0),MID(F5,1,7),MID(F5,9,7),MID(F5,17,7),MID(F5,25,7)),3))</f>
        <v>1027</v>
      </c>
      <c r="Q5">
        <f>LARGE(HEX2DEC(MID(F5,{5,13,21,29},3)),3)</f>
        <v>2096</v>
      </c>
      <c r="R5">
        <f>HEX2DEC(LEFT(CHOOSE(MATCH(LARGE(HEX2DEC(MID(F5,{5,13,21,29},3)),4),HEX2DEC(MID(F5,{5,13,21,29},3)),0),MID(F5,1,7),MID(F5,9,7),MID(F5,17,7),MID(F5,25,7)),3))</f>
        <v>1028</v>
      </c>
      <c r="S5">
        <f>LARGE(HEX2DEC(MID(F5,{5,13,21,29},3)),4)</f>
        <v>1584</v>
      </c>
      <c r="T5">
        <f>IFERROR(IF(IF(Parameters!$B$7="PEAKS",L5,IF(G5&lt;&gt;"",G5*1,""))="","",IF(Parameters!$B$7="PEAKS",L5,IF(G5&lt;&gt;"",G5*1,""))*SIN(RADIANS((IF(D5=0,75,D5))-Parameters!$B$3))),"")</f>
        <v>962.64622119369983</v>
      </c>
      <c r="U5">
        <f>IFERROR(IF(AND(Parameters!$B$4&lt;&gt;"",MAX(0,Parameters!$B$2-T5)&gt;Parameters!$B$4),"",MAX(0,Parameters!$B$2-T5)),"")</f>
        <v>137.35377880630017</v>
      </c>
      <c r="V5">
        <f t="shared" si="0"/>
        <v>0.13735377880630018</v>
      </c>
      <c r="W5">
        <f>MIN(10,MAX(1,1/COS(RADIANS((IF(D5=0,75,D5))+Parameters!$B$3))))</f>
        <v>3.9939291628997839</v>
      </c>
      <c r="X5">
        <f>1.25/COS(RADIANS((IF(D5=0,75,D5))+Parameters!$B$3))</f>
        <v>4.9924114536247295</v>
      </c>
      <c r="Y5">
        <f t="shared" si="1"/>
        <v>1</v>
      </c>
      <c r="Z5">
        <f>E5*W5*IF(U5="",0,IF(Parameters!$B$5="",1,IF(U5&gt;=Parameters!$B$5*1,1,0)))</f>
        <v>279.57504140298488</v>
      </c>
      <c r="AA5">
        <f>J5*Y5*IF(U5="",0,IF(Parameters!$B$5="",1,IF(U5&gt;=Parameters!$B$5*1,1,0)))</f>
        <v>68</v>
      </c>
      <c r="AB5">
        <f>E5*Y5*W5*IF(U5="",0,IF(Parameters!$B$5="",1,IF(U5&gt;=Parameters!$B$5*1,1,0)))</f>
        <v>279.57504140298488</v>
      </c>
    </row>
    <row r="6" spans="1:28" x14ac:dyDescent="0.4">
      <c r="A6">
        <v>5</v>
      </c>
      <c r="B6" t="s">
        <v>35</v>
      </c>
      <c r="C6">
        <v>0</v>
      </c>
      <c r="D6">
        <v>75</v>
      </c>
      <c r="E6">
        <v>95</v>
      </c>
      <c r="F6" t="s">
        <v>36</v>
      </c>
      <c r="G6">
        <v>985</v>
      </c>
      <c r="H6">
        <v>1760</v>
      </c>
      <c r="I6">
        <v>15</v>
      </c>
      <c r="J6">
        <v>89</v>
      </c>
      <c r="L6">
        <f>HEX2DEC(LEFT(CHOOSE(MATCH(LARGE(HEX2DEC(MID(F6,{5,13,21,29},3)),1),HEX2DEC(MID(F6,{5,13,21,29},3)),0),MID(F6,1,7),MID(F6,9,7),MID(F6,17,7),MID(F6,25,7)),3))</f>
        <v>996</v>
      </c>
      <c r="M6">
        <f>LARGE(HEX2DEC(MID(F6,{5,13,21,29},3)),1)</f>
        <v>2565</v>
      </c>
      <c r="N6">
        <f>HEX2DEC(LEFT(CHOOSE(MATCH(LARGE(HEX2DEC(MID(F6,{5,13,21,29},3)),2),HEX2DEC(MID(F6,{5,13,21,29},3)),0),MID(F6,1,7),MID(F6,9,7),MID(F6,17,7),MID(F6,25,7)),3))</f>
        <v>1012</v>
      </c>
      <c r="O6">
        <f>LARGE(HEX2DEC(MID(F6,{5,13,21,29},3)),2)</f>
        <v>2309</v>
      </c>
      <c r="P6">
        <f>HEX2DEC(LEFT(CHOOSE(MATCH(LARGE(HEX2DEC(MID(F6,{5,13,21,29},3)),3),HEX2DEC(MID(F6,{5,13,21,29},3)),0),MID(F6,1,7),MID(F6,9,7),MID(F6,17,7),MID(F6,25,7)),3))</f>
        <v>1028</v>
      </c>
      <c r="Q6">
        <f>LARGE(HEX2DEC(MID(F6,{5,13,21,29},3)),3)</f>
        <v>2053</v>
      </c>
      <c r="R6">
        <f>HEX2DEC(LEFT(CHOOSE(MATCH(LARGE(HEX2DEC(MID(F6,{5,13,21,29},3)),4),HEX2DEC(MID(F6,{5,13,21,29},3)),0),MID(F6,1,7),MID(F6,9,7),MID(F6,17,7),MID(F6,25,7)),3))</f>
        <v>1029</v>
      </c>
      <c r="S6">
        <f>LARGE(HEX2DEC(MID(F6,{5,13,21,29},3)),4)</f>
        <v>1541</v>
      </c>
      <c r="T6">
        <f>IFERROR(IF(IF(Parameters!$B$7="PEAKS",L6,IF(G6&lt;&gt;"",G6*1,""))="","",IF(Parameters!$B$7="PEAKS",L6,IF(G6&lt;&gt;"",G6*1,""))*SIN(RADIANS((IF(D6=0,75,D6))-Parameters!$B$3))),"")</f>
        <v>953.62542577243607</v>
      </c>
      <c r="U6">
        <f>IFERROR(IF(AND(Parameters!$B$4&lt;&gt;"",MAX(0,Parameters!$B$2-T6)&gt;Parameters!$B$4),"",MAX(0,Parameters!$B$2-T6)),"")</f>
        <v>146.37457422756393</v>
      </c>
      <c r="V6">
        <f t="shared" si="0"/>
        <v>0.14637457422756392</v>
      </c>
      <c r="W6">
        <f>MIN(10,MAX(1,1/COS(RADIANS((IF(D6=0,75,D6))+Parameters!$B$3))))</f>
        <v>3.7419775358429965</v>
      </c>
      <c r="X6">
        <f>1.25/COS(RADIANS((IF(D6=0,75,D6))+Parameters!$B$3))</f>
        <v>4.6774719198037458</v>
      </c>
      <c r="Y6">
        <f t="shared" si="1"/>
        <v>1</v>
      </c>
      <c r="Z6">
        <f>E6*W6*IF(U6="",0,IF(Parameters!$B$5="",1,IF(U6&gt;=Parameters!$B$5*1,1,0)))</f>
        <v>355.48786590508467</v>
      </c>
      <c r="AA6">
        <f>J6*Y6*IF(U6="",0,IF(Parameters!$B$5="",1,IF(U6&gt;=Parameters!$B$5*1,1,0)))</f>
        <v>89</v>
      </c>
      <c r="AB6">
        <f>E6*Y6*W6*IF(U6="",0,IF(Parameters!$B$5="",1,IF(U6&gt;=Parameters!$B$5*1,1,0)))</f>
        <v>355.48786590508467</v>
      </c>
    </row>
    <row r="7" spans="1:28" x14ac:dyDescent="0.4">
      <c r="A7">
        <v>6</v>
      </c>
      <c r="B7" t="s">
        <v>37</v>
      </c>
      <c r="C7">
        <v>0</v>
      </c>
      <c r="D7">
        <v>74</v>
      </c>
      <c r="E7">
        <v>110</v>
      </c>
      <c r="F7" t="s">
        <v>38</v>
      </c>
      <c r="G7">
        <v>1010</v>
      </c>
      <c r="H7">
        <v>1800</v>
      </c>
      <c r="I7">
        <v>16</v>
      </c>
      <c r="J7">
        <v>102</v>
      </c>
      <c r="L7">
        <f>HEX2DEC(LEFT(CHOOSE(MATCH(LARGE(HEX2DEC(MID(F7,{5,13,21,29},3)),1),HEX2DEC(MID(F7,{5,13,21,29},3)),0),MID(F7,1,7),MID(F7,9,7),MID(F7,17,7),MID(F7,25,7)),3))</f>
        <v>997</v>
      </c>
      <c r="M7">
        <f>LARGE(HEX2DEC(MID(F7,{5,13,21,29},3)),1)</f>
        <v>2581</v>
      </c>
      <c r="N7">
        <f>HEX2DEC(LEFT(CHOOSE(MATCH(LARGE(HEX2DEC(MID(F7,{5,13,21,29},3)),2),HEX2DEC(MID(F7,{5,13,21,29},3)),0),MID(F7,1,7),MID(F7,9,7),MID(F7,17,7),MID(F7,25,7)),3))</f>
        <v>1013</v>
      </c>
      <c r="O7">
        <f>LARGE(HEX2DEC(MID(F7,{5,13,21,29},3)),2)</f>
        <v>2325</v>
      </c>
      <c r="P7">
        <f>HEX2DEC(LEFT(CHOOSE(MATCH(LARGE(HEX2DEC(MID(F7,{5,13,21,29},3)),3),HEX2DEC(MID(F7,{5,13,21,29},3)),0),MID(F7,1,7),MID(F7,9,7),MID(F7,17,7),MID(F7,25,7)),3))</f>
        <v>1029</v>
      </c>
      <c r="Q7">
        <f>LARGE(HEX2DEC(MID(F7,{5,13,21,29},3)),3)</f>
        <v>2069</v>
      </c>
      <c r="R7">
        <f>HEX2DEC(LEFT(CHOOSE(MATCH(LARGE(HEX2DEC(MID(F7,{5,13,21,29},3)),4),HEX2DEC(MID(F7,{5,13,21,29},3)),0),MID(F7,1,7),MID(F7,9,7),MID(F7,17,7),MID(F7,25,7)),3))</f>
        <v>1030</v>
      </c>
      <c r="S7">
        <f>LARGE(HEX2DEC(MID(F7,{5,13,21,29},3)),4)</f>
        <v>1557</v>
      </c>
      <c r="T7">
        <f>IFERROR(IF(IF(Parameters!$B$7="PEAKS",L7,IF(G7&lt;&gt;"",G7*1,""))="","",IF(Parameters!$B$7="PEAKS",L7,IF(G7&lt;&gt;"",G7*1,""))*SIN(RADIANS((IF(D7=0,75,D7))-Parameters!$B$3))),"")</f>
        <v>973.26675774070918</v>
      </c>
      <c r="U7">
        <f>IFERROR(IF(AND(Parameters!$B$4&lt;&gt;"",MAX(0,Parameters!$B$2-T7)&gt;Parameters!$B$4),"",MAX(0,Parameters!$B$2-T7)),"")</f>
        <v>126.73324225929082</v>
      </c>
      <c r="V7">
        <f t="shared" si="0"/>
        <v>0.12673324225929081</v>
      </c>
      <c r="W7">
        <f>MIN(10,MAX(1,1/COS(RADIANS((IF(D7=0,75,D7))+Parameters!$B$3))))</f>
        <v>3.5209365220828794</v>
      </c>
      <c r="X7">
        <f>1.25/COS(RADIANS((IF(D7=0,75,D7))+Parameters!$B$3))</f>
        <v>4.4011706526035992</v>
      </c>
      <c r="Y7">
        <f t="shared" si="1"/>
        <v>1</v>
      </c>
      <c r="Z7">
        <f>E7*W7*IF(U7="",0,IF(Parameters!$B$5="",1,IF(U7&gt;=Parameters!$B$5*1,1,0)))</f>
        <v>387.30301742911672</v>
      </c>
      <c r="AA7">
        <f>J7*Y7*IF(U7="",0,IF(Parameters!$B$5="",1,IF(U7&gt;=Parameters!$B$5*1,1,0)))</f>
        <v>102</v>
      </c>
      <c r="AB7">
        <f>E7*Y7*W7*IF(U7="",0,IF(Parameters!$B$5="",1,IF(U7&gt;=Parameters!$B$5*1,1,0)))</f>
        <v>387.30301742911672</v>
      </c>
    </row>
    <row r="8" spans="1:28" x14ac:dyDescent="0.4">
      <c r="A8">
        <v>7</v>
      </c>
      <c r="B8" t="s">
        <v>39</v>
      </c>
      <c r="C8">
        <v>0</v>
      </c>
      <c r="D8">
        <v>75</v>
      </c>
      <c r="E8">
        <v>105</v>
      </c>
      <c r="F8" t="s">
        <v>40</v>
      </c>
      <c r="G8">
        <v>995</v>
      </c>
      <c r="H8">
        <v>1790</v>
      </c>
      <c r="I8">
        <v>15</v>
      </c>
      <c r="J8">
        <v>97</v>
      </c>
      <c r="L8">
        <f>HEX2DEC(LEFT(CHOOSE(MATCH(LARGE(HEX2DEC(MID(F8,{5,13,21,29},3)),1),HEX2DEC(MID(F8,{5,13,21,29},3)),0),MID(F8,1,7),MID(F8,9,7),MID(F8,17,7),MID(F8,25,7)),3))</f>
        <v>998</v>
      </c>
      <c r="M8">
        <f>LARGE(HEX2DEC(MID(F8,{5,13,21,29},3)),1)</f>
        <v>2597</v>
      </c>
      <c r="N8">
        <f>HEX2DEC(LEFT(CHOOSE(MATCH(LARGE(HEX2DEC(MID(F8,{5,13,21,29},3)),2),HEX2DEC(MID(F8,{5,13,21,29},3)),0),MID(F8,1,7),MID(F8,9,7),MID(F8,17,7),MID(F8,25,7)),3))</f>
        <v>1014</v>
      </c>
      <c r="O8">
        <f>LARGE(HEX2DEC(MID(F8,{5,13,21,29},3)),2)</f>
        <v>2341</v>
      </c>
      <c r="P8">
        <f>HEX2DEC(LEFT(CHOOSE(MATCH(LARGE(HEX2DEC(MID(F8,{5,13,21,29},3)),3),HEX2DEC(MID(F8,{5,13,21,29},3)),0),MID(F8,1,7),MID(F8,9,7),MID(F8,17,7),MID(F8,25,7)),3))</f>
        <v>1030</v>
      </c>
      <c r="Q8">
        <f>LARGE(HEX2DEC(MID(F8,{5,13,21,29},3)),3)</f>
        <v>2085</v>
      </c>
      <c r="R8">
        <f>HEX2DEC(LEFT(CHOOSE(MATCH(LARGE(HEX2DEC(MID(F8,{5,13,21,29},3)),4),HEX2DEC(MID(F8,{5,13,21,29},3)),0),MID(F8,1,7),MID(F8,9,7),MID(F8,17,7),MID(F8,25,7)),3))</f>
        <v>1031</v>
      </c>
      <c r="S8">
        <f>LARGE(HEX2DEC(MID(F8,{5,13,21,29},3)),4)</f>
        <v>1573</v>
      </c>
      <c r="T8">
        <f>IFERROR(IF(IF(Parameters!$B$7="PEAKS",L8,IF(G8&lt;&gt;"",G8*1,""))="","",IF(Parameters!$B$7="PEAKS",L8,IF(G8&lt;&gt;"",G8*1,""))*SIN(RADIANS((IF(D8=0,75,D8))-Parameters!$B$3))),"")</f>
        <v>963.30690217621725</v>
      </c>
      <c r="U8">
        <f>IFERROR(IF(AND(Parameters!$B$4&lt;&gt;"",MAX(0,Parameters!$B$2-T8)&gt;Parameters!$B$4),"",MAX(0,Parameters!$B$2-T8)),"")</f>
        <v>136.69309782378275</v>
      </c>
      <c r="V8">
        <f t="shared" si="0"/>
        <v>0.13669309782378275</v>
      </c>
      <c r="W8">
        <f>MIN(10,MAX(1,1/COS(RADIANS((IF(D8=0,75,D8))+Parameters!$B$3))))</f>
        <v>3.7419775358429965</v>
      </c>
      <c r="X8">
        <f>1.25/COS(RADIANS((IF(D8=0,75,D8))+Parameters!$B$3))</f>
        <v>4.6774719198037458</v>
      </c>
      <c r="Y8">
        <f t="shared" si="1"/>
        <v>1</v>
      </c>
      <c r="Z8">
        <f>E8*W8*IF(U8="",0,IF(Parameters!$B$5="",1,IF(U8&gt;=Parameters!$B$5*1,1,0)))</f>
        <v>392.90764126351462</v>
      </c>
      <c r="AA8">
        <f>J8*Y8*IF(U8="",0,IF(Parameters!$B$5="",1,IF(U8&gt;=Parameters!$B$5*1,1,0)))</f>
        <v>97</v>
      </c>
      <c r="AB8">
        <f>E8*Y8*W8*IF(U8="",0,IF(Parameters!$B$5="",1,IF(U8&gt;=Parameters!$B$5*1,1,0)))</f>
        <v>392.90764126351462</v>
      </c>
    </row>
    <row r="9" spans="1:28" x14ac:dyDescent="0.4">
      <c r="A9">
        <v>8</v>
      </c>
      <c r="B9" t="s">
        <v>41</v>
      </c>
      <c r="C9">
        <v>0</v>
      </c>
      <c r="D9">
        <v>76</v>
      </c>
      <c r="E9">
        <v>80</v>
      </c>
      <c r="F9" t="s">
        <v>42</v>
      </c>
      <c r="G9">
        <v>980</v>
      </c>
      <c r="H9">
        <v>1720</v>
      </c>
      <c r="I9">
        <v>14</v>
      </c>
      <c r="J9">
        <v>76</v>
      </c>
      <c r="L9">
        <f>HEX2DEC(LEFT(CHOOSE(MATCH(LARGE(HEX2DEC(MID(F9,{5,13,21,29},3)),1),HEX2DEC(MID(F9,{5,13,21,29},3)),0),MID(F9,1,7),MID(F9,9,7),MID(F9,17,7),MID(F9,25,7)),3))</f>
        <v>999</v>
      </c>
      <c r="M9">
        <f>LARGE(HEX2DEC(MID(F9,{5,13,21,29},3)),1)</f>
        <v>2613</v>
      </c>
      <c r="N9">
        <f>HEX2DEC(LEFT(CHOOSE(MATCH(LARGE(HEX2DEC(MID(F9,{5,13,21,29},3)),2),HEX2DEC(MID(F9,{5,13,21,29},3)),0),MID(F9,1,7),MID(F9,9,7),MID(F9,17,7),MID(F9,25,7)),3))</f>
        <v>1015</v>
      </c>
      <c r="O9">
        <f>LARGE(HEX2DEC(MID(F9,{5,13,21,29},3)),2)</f>
        <v>2357</v>
      </c>
      <c r="P9">
        <f>HEX2DEC(LEFT(CHOOSE(MATCH(LARGE(HEX2DEC(MID(F9,{5,13,21,29},3)),3),HEX2DEC(MID(F9,{5,13,21,29},3)),0),MID(F9,1,7),MID(F9,9,7),MID(F9,17,7),MID(F9,25,7)),3))</f>
        <v>1031</v>
      </c>
      <c r="Q9">
        <f>LARGE(HEX2DEC(MID(F9,{5,13,21,29},3)),3)</f>
        <v>2101</v>
      </c>
      <c r="R9">
        <f>HEX2DEC(LEFT(CHOOSE(MATCH(LARGE(HEX2DEC(MID(F9,{5,13,21,29},3)),4),HEX2DEC(MID(F9,{5,13,21,29},3)),0),MID(F9,1,7),MID(F9,9,7),MID(F9,17,7),MID(F9,25,7)),3))</f>
        <v>1032</v>
      </c>
      <c r="S9">
        <f>LARGE(HEX2DEC(MID(F9,{5,13,21,29},3)),4)</f>
        <v>1589</v>
      </c>
      <c r="T9">
        <f>IFERROR(IF(IF(Parameters!$B$7="PEAKS",L9,IF(G9&lt;&gt;"",G9*1,""))="","",IF(Parameters!$B$7="PEAKS",L9,IF(G9&lt;&gt;"",G9*1,""))*SIN(RADIANS((IF(D9=0,75,D9))-Parameters!$B$3))),"")</f>
        <v>952.92252198972301</v>
      </c>
      <c r="U9">
        <f>IFERROR(IF(AND(Parameters!$B$4&lt;&gt;"",MAX(0,Parameters!$B$2-T9)&gt;Parameters!$B$4),"",MAX(0,Parameters!$B$2-T9)),"")</f>
        <v>147.07747801027699</v>
      </c>
      <c r="V9">
        <f t="shared" si="0"/>
        <v>0.14707747801027699</v>
      </c>
      <c r="W9">
        <f>MIN(10,MAX(1,1/COS(RADIANS((IF(D9=0,75,D9))+Parameters!$B$3))))</f>
        <v>3.9939291628997839</v>
      </c>
      <c r="X9">
        <f>1.25/COS(RADIANS((IF(D9=0,75,D9))+Parameters!$B$3))</f>
        <v>4.9924114536247295</v>
      </c>
      <c r="Y9">
        <f t="shared" si="1"/>
        <v>1</v>
      </c>
      <c r="Z9">
        <f>E9*W9*IF(U9="",0,IF(Parameters!$B$5="",1,IF(U9&gt;=Parameters!$B$5*1,1,0)))</f>
        <v>319.51433303198269</v>
      </c>
      <c r="AA9">
        <f>J9*Y9*IF(U9="",0,IF(Parameters!$B$5="",1,IF(U9&gt;=Parameters!$B$5*1,1,0)))</f>
        <v>76</v>
      </c>
      <c r="AB9">
        <f>E9*Y9*W9*IF(U9="",0,IF(Parameters!$B$5="",1,IF(U9&gt;=Parameters!$B$5*1,1,0)))</f>
        <v>319.51433303198269</v>
      </c>
    </row>
    <row r="10" spans="1:28" x14ac:dyDescent="0.4">
      <c r="A10">
        <v>9</v>
      </c>
      <c r="B10" t="s">
        <v>43</v>
      </c>
      <c r="C10">
        <v>0</v>
      </c>
      <c r="D10">
        <v>75</v>
      </c>
      <c r="E10">
        <v>90</v>
      </c>
      <c r="F10" t="s">
        <v>44</v>
      </c>
      <c r="G10">
        <v>988</v>
      </c>
      <c r="H10">
        <v>1745</v>
      </c>
      <c r="I10">
        <v>15</v>
      </c>
      <c r="J10">
        <v>85</v>
      </c>
      <c r="L10">
        <f>HEX2DEC(LEFT(CHOOSE(MATCH(LARGE(HEX2DEC(MID(F10,{5,13,21,29},3)),1),HEX2DEC(MID(F10,{5,13,21,29},3)),0),MID(F10,1,7),MID(F10,9,7),MID(F10,17,7),MID(F10,25,7)),3))</f>
        <v>1000</v>
      </c>
      <c r="M10">
        <f>LARGE(HEX2DEC(MID(F10,{5,13,21,29},3)),1)</f>
        <v>2560</v>
      </c>
      <c r="N10">
        <f>HEX2DEC(LEFT(CHOOSE(MATCH(LARGE(HEX2DEC(MID(F10,{5,13,21,29},3)),2),HEX2DEC(MID(F10,{5,13,21,29},3)),0),MID(F10,1,7),MID(F10,9,7),MID(F10,17,7),MID(F10,25,7)),3))</f>
        <v>1016</v>
      </c>
      <c r="O10">
        <f>LARGE(HEX2DEC(MID(F10,{5,13,21,29},3)),2)</f>
        <v>2304</v>
      </c>
      <c r="P10">
        <f>HEX2DEC(LEFT(CHOOSE(MATCH(LARGE(HEX2DEC(MID(F10,{5,13,21,29},3)),3),HEX2DEC(MID(F10,{5,13,21,29},3)),0),MID(F10,1,7),MID(F10,9,7),MID(F10,17,7),MID(F10,25,7)),3))</f>
        <v>1032</v>
      </c>
      <c r="Q10">
        <f>LARGE(HEX2DEC(MID(F10,{5,13,21,29},3)),3)</f>
        <v>2048</v>
      </c>
      <c r="R10">
        <f>HEX2DEC(LEFT(CHOOSE(MATCH(LARGE(HEX2DEC(MID(F10,{5,13,21,29},3)),4),HEX2DEC(MID(F10,{5,13,21,29},3)),0),MID(F10,1,7),MID(F10,9,7),MID(F10,17,7),MID(F10,25,7)),3))</f>
        <v>1033</v>
      </c>
      <c r="S10">
        <f>LARGE(HEX2DEC(MID(F10,{5,13,21,29},3)),4)</f>
        <v>1536</v>
      </c>
      <c r="T10">
        <f>IFERROR(IF(IF(Parameters!$B$7="PEAKS",L10,IF(G10&lt;&gt;"",G10*1,""))="","",IF(Parameters!$B$7="PEAKS",L10,IF(G10&lt;&gt;"",G10*1,""))*SIN(RADIANS((IF(D10=0,75,D10))-Parameters!$B$3))),"")</f>
        <v>956.52986869357051</v>
      </c>
      <c r="U10">
        <f>IFERROR(IF(AND(Parameters!$B$4&lt;&gt;"",MAX(0,Parameters!$B$2-T10)&gt;Parameters!$B$4),"",MAX(0,Parameters!$B$2-T10)),"")</f>
        <v>143.47013130642949</v>
      </c>
      <c r="V10">
        <f t="shared" si="0"/>
        <v>0.14347013130642949</v>
      </c>
      <c r="W10">
        <f>MIN(10,MAX(1,1/COS(RADIANS((IF(D10=0,75,D10))+Parameters!$B$3))))</f>
        <v>3.7419775358429965</v>
      </c>
      <c r="X10">
        <f>1.25/COS(RADIANS((IF(D10=0,75,D10))+Parameters!$B$3))</f>
        <v>4.6774719198037458</v>
      </c>
      <c r="Y10">
        <f t="shared" si="1"/>
        <v>1</v>
      </c>
      <c r="Z10">
        <f>E10*W10*IF(U10="",0,IF(Parameters!$B$5="",1,IF(U10&gt;=Parameters!$B$5*1,1,0)))</f>
        <v>336.77797822586967</v>
      </c>
      <c r="AA10">
        <f>J10*Y10*IF(U10="",0,IF(Parameters!$B$5="",1,IF(U10&gt;=Parameters!$B$5*1,1,0)))</f>
        <v>85</v>
      </c>
      <c r="AB10">
        <f>E10*Y10*W10*IF(U10="",0,IF(Parameters!$B$5="",1,IF(U10&gt;=Parameters!$B$5*1,1,0)))</f>
        <v>336.77797822586967</v>
      </c>
    </row>
    <row r="11" spans="1:28" x14ac:dyDescent="0.4">
      <c r="A11">
        <v>10</v>
      </c>
      <c r="B11" t="s">
        <v>45</v>
      </c>
      <c r="C11">
        <v>0</v>
      </c>
      <c r="D11">
        <v>74</v>
      </c>
      <c r="E11">
        <v>115</v>
      </c>
      <c r="F11" t="s">
        <v>46</v>
      </c>
      <c r="G11">
        <v>1005</v>
      </c>
      <c r="H11">
        <v>1810</v>
      </c>
      <c r="I11">
        <v>16</v>
      </c>
      <c r="J11">
        <v>110</v>
      </c>
      <c r="L11">
        <f>HEX2DEC(LEFT(CHOOSE(MATCH(LARGE(HEX2DEC(MID(F11,{5,13,21,29},3)),1),HEX2DEC(MID(F11,{5,13,21,29},3)),0),MID(F11,1,7),MID(F11,9,7),MID(F11,17,7),MID(F11,25,7)),3))</f>
        <v>1001</v>
      </c>
      <c r="M11">
        <f>LARGE(HEX2DEC(MID(F11,{5,13,21,29},3)),1)</f>
        <v>2576</v>
      </c>
      <c r="N11">
        <f>HEX2DEC(LEFT(CHOOSE(MATCH(LARGE(HEX2DEC(MID(F11,{5,13,21,29},3)),2),HEX2DEC(MID(F11,{5,13,21,29},3)),0),MID(F11,1,7),MID(F11,9,7),MID(F11,17,7),MID(F11,25,7)),3))</f>
        <v>1017</v>
      </c>
      <c r="O11">
        <f>LARGE(HEX2DEC(MID(F11,{5,13,21,29},3)),2)</f>
        <v>2320</v>
      </c>
      <c r="P11">
        <f>HEX2DEC(LEFT(CHOOSE(MATCH(LARGE(HEX2DEC(MID(F11,{5,13,21,29},3)),3),HEX2DEC(MID(F11,{5,13,21,29},3)),0),MID(F11,1,7),MID(F11,9,7),MID(F11,17,7),MID(F11,25,7)),3))</f>
        <v>1033</v>
      </c>
      <c r="Q11">
        <f>LARGE(HEX2DEC(MID(F11,{5,13,21,29},3)),3)</f>
        <v>2064</v>
      </c>
      <c r="R11">
        <f>HEX2DEC(LEFT(CHOOSE(MATCH(LARGE(HEX2DEC(MID(F11,{5,13,21,29},3)),4),HEX2DEC(MID(F11,{5,13,21,29},3)),0),MID(F11,1,7),MID(F11,9,7),MID(F11,17,7),MID(F11,25,7)),3))</f>
        <v>1034</v>
      </c>
      <c r="S11">
        <f>LARGE(HEX2DEC(MID(F11,{5,13,21,29},3)),4)</f>
        <v>1552</v>
      </c>
      <c r="T11">
        <f>IFERROR(IF(IF(Parameters!$B$7="PEAKS",L11,IF(G11&lt;&gt;"",G11*1,""))="","",IF(Parameters!$B$7="PEAKS",L11,IF(G11&lt;&gt;"",G11*1,""))*SIN(RADIANS((IF(D11=0,75,D11))-Parameters!$B$3))),"")</f>
        <v>968.44860547466601</v>
      </c>
      <c r="U11">
        <f>IFERROR(IF(AND(Parameters!$B$4&lt;&gt;"",MAX(0,Parameters!$B$2-T11)&gt;Parameters!$B$4),"",MAX(0,Parameters!$B$2-T11)),"")</f>
        <v>131.55139452533399</v>
      </c>
      <c r="V11">
        <f t="shared" si="0"/>
        <v>0.13155139452533399</v>
      </c>
      <c r="W11">
        <f>MIN(10,MAX(1,1/COS(RADIANS((IF(D11=0,75,D11))+Parameters!$B$3))))</f>
        <v>3.5209365220828794</v>
      </c>
      <c r="X11">
        <f>1.25/COS(RADIANS((IF(D11=0,75,D11))+Parameters!$B$3))</f>
        <v>4.4011706526035992</v>
      </c>
      <c r="Y11">
        <f t="shared" si="1"/>
        <v>1</v>
      </c>
      <c r="Z11">
        <f>E11*W11*IF(U11="",0,IF(Parameters!$B$5="",1,IF(U11&gt;=Parameters!$B$5*1,1,0)))</f>
        <v>404.90770003953111</v>
      </c>
      <c r="AA11">
        <f>J11*Y11*IF(U11="",0,IF(Parameters!$B$5="",1,IF(U11&gt;=Parameters!$B$5*1,1,0)))</f>
        <v>110</v>
      </c>
      <c r="AB11">
        <f>E11*Y11*W11*IF(U11="",0,IF(Parameters!$B$5="",1,IF(U11&gt;=Parameters!$B$5*1,1,0)))</f>
        <v>404.90770003953111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McCarthy</cp:lastModifiedBy>
  <dcterms:created xsi:type="dcterms:W3CDTF">2026-09-08T21:46:26Z</dcterms:created>
  <dcterms:modified xsi:type="dcterms:W3CDTF">2026-09-08T21:50:01Z</dcterms:modified>
</cp:coreProperties>
</file>